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CAAE0590-D47F-4BA8-BFFC-B8B7E4E2E5C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1" sheetId="3" r:id="rId3"/>
    <sheet name="รายงานผลการเรียนเทอม1" sheetId="6" r:id="rId4"/>
  </sheets>
  <definedNames>
    <definedName name="_xlnm.Print_Area" localSheetId="3">รายงานผลการเรียนเทอม1!$A$1:$R$42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P5" i="6"/>
  <c r="I4" i="6"/>
  <c r="G40" i="6" l="1"/>
  <c r="I39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N35" i="6" l="1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L11" i="6"/>
  <c r="L10" i="6"/>
  <c r="K6" i="6"/>
  <c r="L28" i="6"/>
  <c r="L24" i="6"/>
  <c r="L19" i="6"/>
  <c r="L15" i="6"/>
  <c r="F6" i="6"/>
  <c r="B33" i="6"/>
  <c r="L21" i="6"/>
  <c r="L13" i="6"/>
  <c r="L25" i="6"/>
  <c r="M33" i="6"/>
  <c r="L27" i="6"/>
  <c r="L23" i="6"/>
  <c r="L18" i="6"/>
  <c r="L14" i="6"/>
  <c r="L26" i="6"/>
  <c r="L17" i="6"/>
  <c r="H33" i="6"/>
  <c r="L20" i="6"/>
  <c r="L16" i="6"/>
  <c r="L12" i="6"/>
  <c r="N23" i="6"/>
  <c r="BH20" i="3"/>
  <c r="BH18" i="3"/>
  <c r="BH22" i="3"/>
  <c r="BH23" i="3"/>
  <c r="BH19" i="3"/>
  <c r="BH17" i="3"/>
  <c r="BH21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L29" i="6" l="1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<sst xmlns="http://schemas.openxmlformats.org/spreadsheetml/2006/main" count="316" uniqueCount="108">
  <si>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</si>
  <si>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</si>
  <si>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</si>
  <si>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</si>
  <si>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</si>
  <si>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</si>
  <si>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</si>
  <si>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</si>
  <si>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</si>
  <si>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</si>
  <si>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</si>
  <si>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</si>
  <si>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</si>
  <si>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</si>
  <si>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</si>
  <si>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</si>
  <si>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</si>
  <si>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</si>
  <si>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</si>
  <si>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</si>
  <si>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</si>
  <si>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</si>
  <si>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</si>
  <si>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</si>
  <si>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</si>
  <si>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</si>
  <si>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</si>
  <si>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</si>
  <si>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</si>
  <si>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</si>
  <si>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</si>
  <si>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</si>
  <si>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</si>
  <si>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</si>
  <si>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</si>
  <si>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</si>
  <si>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</si>
  <si>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</si>
  <si>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</si>
  <si>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</si>
  <si>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</si>
  <si>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</si>
  <si>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</si>
  <si>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</si>
  <si>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</si>
  <si>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</si>
  <si>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</si>
  <si>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</si>
  <si>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</si>
  <si>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</si>
  <si>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</si>
  <si>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</si>
  <si>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</si>
  <si>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</si>
  <si>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>วันที่ออกแบบรายงานผลฯ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</si>
  <si>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</si>
  <si>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</si>
  <si>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</si>
  <si>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</si>
  <si>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นางสาวศิริลักษณ์ สืบไทย</t>
  </si>
  <si>
    <t>ผู้อำนวยการโรงเรียนศาลาพัน</t>
  </si>
  <si>
    <t>ภาคเรียน</t>
  </si>
  <si>
    <t>มัธยมศึกษาปีที่ 3</t>
  </si>
  <si>
    <t>นางสาววาสนา บุญเพ็ญ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</si>
  <si>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</si>
  <si>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</si>
  <si>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</si>
  <si>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</si>
  <si>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</si>
  <si>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</si>
  <si>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</si>
  <si>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</si>
  <si>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</si>
  <si>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</si>
  <si>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</si>
  <si>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</si>
  <si>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</si>
  <si>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</si>
  <si>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</si>
  <si>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</si>
  <si>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</si>
  <si>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</si>
  <si>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</si>
  <si>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</si>
  <si>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</si>
  <si>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</si>
  <si>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</si>
  <si>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นางสาวพักตร์พิมล บุราณเดช</t>
  </si>
  <si>
    <t>นายกานต์ สุขกลาง</t>
  </si>
  <si>
    <t>ส23201</t>
  </si>
  <si>
    <t>การป้องกันการทุจริต 5</t>
  </si>
  <si>
    <t>การงานฯ (เพิ่ม)</t>
  </si>
  <si>
    <t>เด็กชายณัฐภูมิ  ชัยมานิตย์</t>
  </si>
  <si>
    <t>เด็กหญิงณัฎฐิดา  ทัดทอง</t>
  </si>
  <si>
    <t>เด็กหญิงพิมพ์รดา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</si>
  <si>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</si>
  <si>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</si>
  <si>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</si>
  <si>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เด็กชายศุภกร  บรรจงเลี้ยง</t>
  </si>
  <si>
    <t>เด็กชายรัตนพล  ชมครุฑ</t>
  </si>
  <si>
    <t>เด็กหญิงพิมพ์ชนก จิตรโคตร</t>
  </si>
  <si>
    <t>เด็กหญิงปิยธิดาพร ทวีปไธสง</t>
  </si>
  <si>
    <t>เด็กหญิงธมลวรรณ มโนสา</t>
  </si>
  <si>
    <t>เด็กหญิงพิชชาพร รัตนบุรี</t>
  </si>
  <si>
    <t>เด็กชายรุ่งอรุณ มีไทย</t>
  </si>
  <si>
    <t>เด็กชายอนุรักษ์ เสียงตรง</t>
  </si>
  <si>
    <t>เด็กหญิงธฤษวรรณ ชำนาญนาค</t>
  </si>
  <si>
    <t>เด็กชายพีรพล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</si>
</sst>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0" fontId="1" fillId="26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26" borderId="1" xfId="0" applyFont="1" applyFill="1" applyBorder="1" applyAlignment="1" applyProtection="1">
      <alignment vertical="center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/>
      <protection locked="0"/>
    </xf>
    <xf numFmtId="15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Protection="1"/>
    <xf numFmtId="0" fontId="1" fillId="0" borderId="16" xfId="0" applyFont="1" applyBorder="1" applyAlignment="1" applyProtection="1">
      <alignment horizontal="center" vertical="center"/>
    </xf>
    <xf numFmtId="0" fontId="1" fillId="0" borderId="18" xfId="0" applyFont="1" applyBorder="1" applyProtection="1"/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10" fillId="11" borderId="0" xfId="0" applyFont="1" applyFill="1" applyAlignment="1" applyProtection="1">
      <alignment horizontal="center" vertical="center"/>
    </xf>
    <xf numFmtId="0" fontId="7" fillId="0" borderId="0" xfId="0" applyFont="1" applyProtection="1"/>
    <xf numFmtId="0" fontId="7" fillId="0" borderId="11" xfId="0" applyFont="1" applyBorder="1" applyAlignment="1" applyProtection="1">
      <alignment horizontal="center" vertical="center"/>
    </xf>
    <xf numFmtId="0" fontId="7" fillId="0" borderId="23" xfId="0" applyFont="1" applyBorder="1" applyProtection="1"/>
    <xf numFmtId="0" fontId="8" fillId="0" borderId="11" xfId="0" applyFont="1" applyBorder="1" applyAlignment="1" applyProtection="1">
      <alignment horizontal="right" indent="2"/>
    </xf>
    <xf numFmtId="0" fontId="8" fillId="0" borderId="0" xfId="0" applyFont="1" applyAlignment="1" applyProtection="1">
      <alignment horizontal="right" indent="2"/>
    </xf>
    <xf numFmtId="0" fontId="7" fillId="0" borderId="13" xfId="0" applyFont="1" applyBorder="1" applyAlignment="1" applyProtection="1">
      <alignment horizontal="left" vertical="center" indent="1" shrinkToFit="1"/>
    </xf>
    <xf numFmtId="0" fontId="7" fillId="0" borderId="19" xfId="0" applyFont="1" applyBorder="1" applyAlignment="1" applyProtection="1">
      <alignment horizontal="left" vertical="center" indent="1" shrinkToFit="1"/>
    </xf>
    <xf numFmtId="0" fontId="7" fillId="2" borderId="0" xfId="0" applyFont="1" applyFill="1" applyProtection="1"/>
    <xf numFmtId="0" fontId="8" fillId="27" borderId="0" xfId="0" applyFont="1" applyFill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left" vertical="center" indent="1"/>
    </xf>
    <xf numFmtId="0" fontId="7" fillId="0" borderId="15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 indent="1"/>
    </xf>
    <xf numFmtId="0" fontId="7" fillId="0" borderId="12" xfId="0" applyFont="1" applyBorder="1" applyAlignment="1" applyProtection="1">
      <alignment horizontal="center" vertical="center"/>
    </xf>
    <xf numFmtId="0" fontId="7" fillId="0" borderId="22" xfId="0" applyFont="1" applyBorder="1" applyProtection="1"/>
    <xf numFmtId="0" fontId="7" fillId="0" borderId="12" xfId="0" applyFont="1" applyBorder="1" applyProtection="1"/>
    <xf numFmtId="0" fontId="7" fillId="0" borderId="21" xfId="0" applyFont="1" applyBorder="1" applyProtection="1"/>
    <xf numFmtId="0" fontId="8" fillId="13" borderId="1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left" vertical="center" indent="1"/>
    </xf>
    <xf numFmtId="0" fontId="7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left" vertical="center" indent="1"/>
    </xf>
    <xf numFmtId="0" fontId="7" fillId="0" borderId="24" xfId="0" applyFont="1" applyBorder="1" applyAlignment="1" applyProtection="1">
      <alignment horizontal="center"/>
    </xf>
    <xf numFmtId="0" fontId="8" fillId="13" borderId="1" xfId="0" applyFont="1" applyFill="1" applyBorder="1" applyAlignment="1" applyProtection="1">
      <alignment horizontal="right" vertical="center"/>
    </xf>
    <xf numFmtId="2" fontId="8" fillId="0" borderId="1" xfId="0" applyNumberFormat="1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9" fillId="13" borderId="1" xfId="0" applyFont="1" applyFill="1" applyBorder="1" applyAlignment="1" applyProtection="1">
      <alignment horizontal="center" vertical="center"/>
    </xf>
    <xf numFmtId="0" fontId="8" fillId="25" borderId="1" xfId="0" applyFont="1" applyFill="1" applyBorder="1" applyAlignment="1" applyProtection="1">
      <alignment horizontal="center" vertical="center" shrinkToFit="1"/>
    </xf>
    <xf numFmtId="0" fontId="8" fillId="25" borderId="1" xfId="0" applyFont="1" applyFill="1" applyBorder="1" applyAlignment="1" applyProtection="1">
      <alignment horizontal="center" shrinkToFi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14" xfId="0" applyFont="1" applyBorder="1" applyAlignment="1" applyProtection="1">
      <alignment horizontal="center" shrinkToFit="1"/>
    </xf>
    <xf numFmtId="15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278410</xdr:rowOff>
    </xdr:from>
    <xdr:to>
      <xdr:col>2</xdr:col>
      <xdr:colOff>485774</xdr:colOff>
      <xdr:row>5</xdr:row>
      <xdr:rowOff>99059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4" y="324130"/>
          <a:ext cx="838200" cy="834109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D12" sqref="D12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56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56"/>
    </row>
    <row r="3" spans="1:10">
      <c r="A3" s="3"/>
      <c r="B3" s="3"/>
      <c r="C3" s="3"/>
      <c r="D3" s="3"/>
      <c r="E3" s="3"/>
      <c r="F3" s="3"/>
      <c r="G3" s="3"/>
      <c r="H3" s="3"/>
      <c r="I3" s="3"/>
      <c r="J3" s="56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56"/>
    </row>
    <row r="5" spans="1:10" ht="23.25" customHeight="1">
      <c r="A5" s="55" t="s">
        <v>55</v>
      </c>
      <c r="B5" s="55"/>
      <c r="C5" s="55"/>
      <c r="D5" s="55"/>
      <c r="E5" s="55"/>
      <c r="F5" s="55"/>
      <c r="G5" s="55"/>
      <c r="H5" s="55"/>
      <c r="I5" s="55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56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57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62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63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 t="s">
        <v>87</v>
      </c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88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59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58</v>
      </c>
      <c r="D15" s="6" t="s">
        <v>60</v>
      </c>
      <c r="E15" s="3"/>
      <c r="F15" s="3"/>
      <c r="G15" s="3"/>
      <c r="H15" s="3"/>
      <c r="I15" s="3"/>
      <c r="J15" s="38"/>
    </row>
    <row r="16" spans="1:10">
      <c r="A16" s="4"/>
      <c r="B16" s="4"/>
      <c r="C16" s="48" t="s">
        <v>61</v>
      </c>
      <c r="D16" s="49">
        <v>1</v>
      </c>
      <c r="E16" s="4"/>
      <c r="F16" s="4"/>
      <c r="G16" s="4"/>
      <c r="H16" s="4"/>
      <c r="I16" s="4"/>
      <c r="J16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7" workbookViewId="0">
      <selection activeCell="D21" sqref="D21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57" t="s">
        <v>13</v>
      </c>
      <c r="B1" s="57"/>
      <c r="C1" s="57"/>
      <c r="D1" s="57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64</v>
      </c>
      <c r="C3" s="5" t="s">
        <v>76</v>
      </c>
      <c r="D3" s="10">
        <v>1.5</v>
      </c>
    </row>
    <row r="4" spans="1:4">
      <c r="A4" s="12">
        <f>A3+1</f>
        <v>2</v>
      </c>
      <c r="B4" s="10" t="s">
        <v>65</v>
      </c>
      <c r="C4" s="5" t="s">
        <v>77</v>
      </c>
      <c r="D4" s="10">
        <v>1.5</v>
      </c>
    </row>
    <row r="5" spans="1:4">
      <c r="A5" s="12">
        <f t="shared" ref="A5:A14" si="0">A4+1</f>
        <v>3</v>
      </c>
      <c r="B5" s="10" t="s">
        <v>66</v>
      </c>
      <c r="C5" s="5" t="s">
        <v>78</v>
      </c>
      <c r="D5" s="10">
        <v>1.5</v>
      </c>
    </row>
    <row r="6" spans="1:4">
      <c r="A6" s="12">
        <f t="shared" si="0"/>
        <v>4</v>
      </c>
      <c r="B6" s="10" t="s">
        <v>67</v>
      </c>
      <c r="C6" s="5" t="s">
        <v>79</v>
      </c>
      <c r="D6" s="10">
        <v>1.5</v>
      </c>
    </row>
    <row r="7" spans="1:4">
      <c r="A7" s="12">
        <f t="shared" si="0"/>
        <v>5</v>
      </c>
      <c r="B7" s="10" t="s">
        <v>68</v>
      </c>
      <c r="C7" s="5" t="s">
        <v>80</v>
      </c>
      <c r="D7" s="10">
        <v>0.5</v>
      </c>
    </row>
    <row r="8" spans="1:4">
      <c r="A8" s="12">
        <f t="shared" si="0"/>
        <v>6</v>
      </c>
      <c r="B8" s="10" t="s">
        <v>69</v>
      </c>
      <c r="C8" s="5" t="s">
        <v>81</v>
      </c>
      <c r="D8" s="10">
        <v>1</v>
      </c>
    </row>
    <row r="9" spans="1:4">
      <c r="A9" s="12">
        <f t="shared" si="0"/>
        <v>7</v>
      </c>
      <c r="B9" s="10" t="s">
        <v>70</v>
      </c>
      <c r="C9" s="5" t="s">
        <v>82</v>
      </c>
      <c r="D9" s="10">
        <v>1</v>
      </c>
    </row>
    <row r="10" spans="1:4">
      <c r="A10" s="12">
        <f t="shared" si="0"/>
        <v>8</v>
      </c>
      <c r="B10" s="10" t="s">
        <v>71</v>
      </c>
      <c r="C10" s="5" t="s">
        <v>83</v>
      </c>
      <c r="D10" s="10">
        <v>1</v>
      </c>
    </row>
    <row r="11" spans="1:4">
      <c r="A11" s="12">
        <f t="shared" si="0"/>
        <v>9</v>
      </c>
      <c r="B11" s="10" t="s">
        <v>72</v>
      </c>
      <c r="C11" s="5" t="s">
        <v>84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58" t="s">
        <v>14</v>
      </c>
      <c r="B15" s="58"/>
      <c r="C15" s="58"/>
      <c r="D15" s="58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73</v>
      </c>
      <c r="C17" s="5" t="s">
        <v>85</v>
      </c>
      <c r="D17" s="10">
        <v>0.5</v>
      </c>
    </row>
    <row r="18" spans="1:4">
      <c r="A18" s="14">
        <f>A17+1</f>
        <v>2</v>
      </c>
      <c r="B18" s="10" t="s">
        <v>74</v>
      </c>
      <c r="C18" s="5" t="s">
        <v>91</v>
      </c>
      <c r="D18" s="10">
        <v>0.5</v>
      </c>
    </row>
    <row r="19" spans="1:4">
      <c r="A19" s="14">
        <f t="shared" ref="A19:A22" si="1">A18+1</f>
        <v>3</v>
      </c>
      <c r="B19" s="10" t="s">
        <v>75</v>
      </c>
      <c r="C19" s="5" t="s">
        <v>86</v>
      </c>
      <c r="D19" s="10">
        <v>1</v>
      </c>
    </row>
    <row r="20" spans="1:4">
      <c r="A20" s="14">
        <f t="shared" si="1"/>
        <v>4</v>
      </c>
      <c r="B20" s="10" t="s">
        <v>89</v>
      </c>
      <c r="C20" s="5" t="s">
        <v>90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B21" sqref="B21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64" t="s">
        <v>15</v>
      </c>
      <c r="B1" s="36" t="s">
        <v>32</v>
      </c>
      <c r="C1" s="76" t="s">
        <v>16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 t="s">
        <v>17</v>
      </c>
      <c r="P1" s="77"/>
      <c r="Q1" s="77"/>
      <c r="R1" s="77"/>
      <c r="S1" s="77"/>
      <c r="T1" s="77"/>
      <c r="U1" s="67" t="s">
        <v>53</v>
      </c>
      <c r="V1" s="68"/>
      <c r="W1" s="69"/>
      <c r="X1" s="62" t="s">
        <v>19</v>
      </c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 t="s">
        <v>18</v>
      </c>
      <c r="AK1" s="62"/>
      <c r="AL1" s="62"/>
      <c r="AM1" s="62"/>
      <c r="AN1" s="62"/>
      <c r="AO1" s="62"/>
      <c r="AP1" s="63" t="s">
        <v>29</v>
      </c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 t="s">
        <v>18</v>
      </c>
      <c r="BC1" s="63"/>
      <c r="BD1" s="63"/>
      <c r="BE1" s="63"/>
      <c r="BF1" s="63"/>
      <c r="BG1" s="63"/>
      <c r="BH1" s="59" t="s">
        <v>30</v>
      </c>
      <c r="BI1" s="61" t="s">
        <v>31</v>
      </c>
    </row>
    <row r="2" spans="1:61" ht="165" customHeight="1">
      <c r="A2" s="65"/>
      <c r="B2" s="22" t="s">
        <v>9</v>
      </c>
      <c r="C2" s="17" t="str">
        <f>IF(วิชาเรียน!$B$3="","",วิชาเรียน!$B$3 &amp; " " &amp; วิชาเรียน!$C$3)</f>
        <v>ท23101 ภาษาไทย 5</v>
      </c>
      <c r="D2" s="17" t="str">
        <f>IF(วิชาเรียน!$B$4="","",วิชาเรียน!$B$4 &amp; " " &amp; วิชาเรียน!$C$4 )</f>
        <v>ค23101 คณิตศาสตร์ 5</v>
      </c>
      <c r="E2" s="17" t="str">
        <f>IF(วิชาเรียน!$B$5="","",วิชาเรียน!$B$5 &amp; " " &amp; วิชาเรียน!$C$5 )</f>
        <v>ว23101 วิทยาศาสตร์และเทคโนโลยี 5</v>
      </c>
      <c r="F2" s="17" t="str">
        <f>IF(วิชาเรียน!$B$6="","",วิชาเรียน!$B$6 &amp; " " &amp; วิชาเรียน!$C$6 )</f>
        <v>ส23101 สังคมศึกษา ศาสนาและวัฒนธรรม 5</v>
      </c>
      <c r="G2" s="17" t="str">
        <f>IF(วิชาเรียน!$B$7="","",วิชาเรียน!$B$7 &amp; " " &amp; วิชาเรียน!$C$7 )</f>
        <v>ส23102 ประวัติศาสตร์ 5</v>
      </c>
      <c r="H2" s="17" t="str">
        <f>IF(วิชาเรียน!$B$8="","",วิชาเรียน!$B$8 &amp; " " &amp; วิชาเรียน!$C$8 )</f>
        <v>พ23101 สุขศึกษาและพลศึกษา 5</v>
      </c>
      <c r="I2" s="17" t="str">
        <f>IF(วิชาเรียน!$B$9="","",วิชาเรียน!$B$9 &amp; " " &amp; วิชาเรียน!$C$9 )</f>
        <v>ศ23101 ศิลปะ 5</v>
      </c>
      <c r="J2" s="17" t="str">
        <f>IF(วิชาเรียน!$B$10="","",วิชาเรียน!$B$10 &amp; " " &amp; วิชาเรียน!$C$10 )</f>
        <v>ง23101 การงานอาชีพ 5</v>
      </c>
      <c r="K2" s="17" t="str">
        <f>IF(วิชาเรียน!$B$11="","",วิชาเรียน!$B$11 &amp; " " &amp; วิชาเรียน!$C$11 )</f>
        <v>อ23101 ภาษาอังกฤษ 5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ส23235 หน้าที่พลเมือง 5</v>
      </c>
      <c r="P2" s="18" t="str">
        <f>IF(วิชาเรียน!$B$18="","",วิชาเรียน!$B$18 &amp; " " &amp; วิชาเรียน!$C$18 )</f>
        <v>ง23201 การงานฯ (เพิ่ม)</v>
      </c>
      <c r="Q2" s="18" t="str">
        <f>IF(วิชาเรียน!$B$19="","",วิชาเรียน!$B$19 &amp; " " &amp; วิชาเรียน!$C$19 )</f>
        <v>ว23201 คอมพิวเตอร์ 5</v>
      </c>
      <c r="R2" s="18" t="str">
        <f>IF(วิชาเรียน!$B$20="","",วิชาเรียน!$B$20 &amp; " " &amp; วิชาเรียน!$C$20 )</f>
        <v>ส23201 การป้องกันการทุจริต 5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70" t="s">
        <v>20</v>
      </c>
      <c r="V2" s="72" t="s">
        <v>21</v>
      </c>
      <c r="W2" s="74" t="s">
        <v>22</v>
      </c>
      <c r="X2" s="25" t="str">
        <f>IF(วิชาเรียน!$B$3="","",วิชาเรียน!$B$3 &amp; " " &amp; วิชาเรียน!$C$3)</f>
        <v>ท23101 ภาษาไทย 5</v>
      </c>
      <c r="Y2" s="25" t="str">
        <f>IF(วิชาเรียน!$B$4="","",วิชาเรียน!$B$4 &amp; " " &amp; วิชาเรียน!$C$4 )</f>
        <v>ค23101 คณิตศาสตร์ 5</v>
      </c>
      <c r="Z2" s="25" t="str">
        <f>IF(วิชาเรียน!$B$5="","",วิชาเรียน!$B$5 &amp; " " &amp; วิชาเรียน!$C$5 )</f>
        <v>ว23101 วิทยาศาสตร์และเทคโนโลยี 5</v>
      </c>
      <c r="AA2" s="25" t="str">
        <f>IF(วิชาเรียน!$B$6="","",วิชาเรียน!$B$6 &amp; " " &amp; วิชาเรียน!$C$6 )</f>
        <v>ส23101 สังคมศึกษา ศาสนาและวัฒนธรรม 5</v>
      </c>
      <c r="AB2" s="25" t="str">
        <f>IF(วิชาเรียน!$B$7="","",วิชาเรียน!$B$7 &amp; " " &amp; วิชาเรียน!$C$7 )</f>
        <v>ส23102 ประวัติศาสตร์ 5</v>
      </c>
      <c r="AC2" s="25" t="str">
        <f>IF(วิชาเรียน!$B$8="","",วิชาเรียน!$B$8 &amp; " " &amp; วิชาเรียน!$C$8 )</f>
        <v>พ23101 สุขศึกษาและพลศึกษา 5</v>
      </c>
      <c r="AD2" s="25" t="str">
        <f>IF(วิชาเรียน!$B$9="","",วิชาเรียน!$B$9 &amp; " " &amp; วิชาเรียน!$C$9 )</f>
        <v>ศ23101 ศิลปะ 5</v>
      </c>
      <c r="AE2" s="25" t="str">
        <f>IF(วิชาเรียน!$B$10="","",วิชาเรียน!$B$10 &amp; " " &amp; วิชาเรียน!$C$10 )</f>
        <v>ง23101 การงานอาชีพ 5</v>
      </c>
      <c r="AF2" s="25" t="str">
        <f>IF(วิชาเรียน!$B$11="","",วิชาเรียน!$B$11 &amp; " " &amp; วิชาเรียน!$C$11 )</f>
        <v>อ23101 ภาษาอังกฤษ 5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ส23235 หน้าที่พลเมือง 5</v>
      </c>
      <c r="AK2" s="26" t="str">
        <f>IF(วิชาเรียน!$B$18="","",วิชาเรียน!$B$18 &amp; " " &amp; วิชาเรียน!$C$18 )</f>
        <v>ง23201 การงานฯ (เพิ่ม)</v>
      </c>
      <c r="AL2" s="26" t="str">
        <f>IF(วิชาเรียน!$B$19="","",วิชาเรียน!$B$19 &amp; " " &amp; วิชาเรียน!$C$19 )</f>
        <v>ว23201 คอมพิวเตอร์ 5</v>
      </c>
      <c r="AM2" s="26" t="str">
        <f>IF(วิชาเรียน!$B$20="","",วิชาเรียน!$B$20 &amp; " " &amp; วิชาเรียน!$C$20 )</f>
        <v>ส23201 การป้องกันการทุจริต 5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ท23101 ภาษาไทย 5</v>
      </c>
      <c r="AQ2" s="28" t="str">
        <f>IF(วิชาเรียน!$B$4="","",วิชาเรียน!$B$4 &amp; " " &amp; วิชาเรียน!$C$4 )</f>
        <v>ค23101 คณิตศาสตร์ 5</v>
      </c>
      <c r="AR2" s="28" t="str">
        <f>IF(วิชาเรียน!$B$5="","",วิชาเรียน!$B$5 &amp; " " &amp; วิชาเรียน!$C$5 )</f>
        <v>ว23101 วิทยาศาสตร์และเทคโนโลยี 5</v>
      </c>
      <c r="AS2" s="28" t="str">
        <f>IF(วิชาเรียน!$B$6="","",วิชาเรียน!$B$6 &amp; " " &amp; วิชาเรียน!$C$6 )</f>
        <v>ส23101 สังคมศึกษา ศาสนาและวัฒนธรรม 5</v>
      </c>
      <c r="AT2" s="28" t="str">
        <f>IF(วิชาเรียน!$B$7="","",วิชาเรียน!$B$7 &amp; " " &amp; วิชาเรียน!$C$7 )</f>
        <v>ส23102 ประวัติศาสตร์ 5</v>
      </c>
      <c r="AU2" s="28" t="str">
        <f>IF(วิชาเรียน!$B$8="","",วิชาเรียน!$B$8 &amp; " " &amp; วิชาเรียน!$C$8 )</f>
        <v>พ23101 สุขศึกษาและพลศึกษา 5</v>
      </c>
      <c r="AV2" s="28" t="str">
        <f>IF(วิชาเรียน!$B$9="","",วิชาเรียน!$B$9 &amp; " " &amp; วิชาเรียน!$C$9 )</f>
        <v>ศ23101 ศิลปะ 5</v>
      </c>
      <c r="AW2" s="28" t="str">
        <f>IF(วิชาเรียน!$B$10="","",วิชาเรียน!$B$10 &amp; " " &amp; วิชาเรียน!$C$10 )</f>
        <v>ง23101 การงานอาชีพ 5</v>
      </c>
      <c r="AX2" s="28" t="str">
        <f>IF(วิชาเรียน!$B$11="","",วิชาเรียน!$B$11 &amp; " " &amp; วิชาเรียน!$C$11 )</f>
        <v>อ23101 ภาษาอังกฤษ 5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ส23235 หน้าที่พลเมือง 5</v>
      </c>
      <c r="BC2" s="29" t="str">
        <f>IF(วิชาเรียน!$B$18="","",วิชาเรียน!$B$18 &amp; " " &amp; วิชาเรียน!$C$18 )</f>
        <v>ง23201 การงานฯ (เพิ่ม)</v>
      </c>
      <c r="BD2" s="29" t="str">
        <f>IF(วิชาเรียน!$B$19="","",วิชาเรียน!$B$19 &amp; " " &amp; วิชาเรียน!$C$19 )</f>
        <v>ว23201 คอมพิวเตอร์ 5</v>
      </c>
      <c r="BE2" s="29" t="str">
        <f>IF(วิชาเรียน!$B$20="","",วิชาเรียน!$B$20 &amp; " " &amp; วิชาเรียน!$C$20 )</f>
        <v>ส23201 การป้องกันการทุจริต 5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60"/>
      <c r="BI2" s="61"/>
    </row>
    <row r="3" spans="1:61" ht="22.5" customHeight="1">
      <c r="A3" s="66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0.5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71"/>
      <c r="V3" s="73"/>
      <c r="W3" s="75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0.5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0.5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13.5</v>
      </c>
      <c r="BI3" s="61"/>
    </row>
    <row r="4" spans="1:61" ht="24.6">
      <c r="A4" s="19">
        <v>1</v>
      </c>
      <c r="B4" s="52" t="s">
        <v>92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/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 t="str">
        <f>IF($R4="","",IF($R4&gt;=80,4,IF($R4&gt;=75,3.5,IF($R4&gt;=70,3,IF($R4&gt;=65,2.5,IF($R4&gt;=60,2,IF($R4&gt;=55,1.5,IF($R4&gt;=50,1,0))))))))</f>
        <v/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2</v>
      </c>
      <c r="BD4" s="31">
        <f>IF($AL4="","",$AL4*$BD$3)</f>
        <v>4</v>
      </c>
      <c r="BE4" s="31" t="str">
        <f>IF($AM4="","",$AM4*$BE$3)</f>
        <v/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3.0555555555555554</v>
      </c>
      <c r="BI4" s="34">
        <f>IF($B4="","",RANK($BH4,$BH$4:$BH$63,0))</f>
        <v>1</v>
      </c>
    </row>
    <row r="5" spans="1:61" ht="24.6">
      <c r="A5" s="20">
        <f>A4+1</f>
        <v>2</v>
      </c>
      <c r="B5" s="52" t="s">
        <v>93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0.44444444444444442</v>
      </c>
      <c r="BI5" s="34">
        <f t="shared" ref="BI5:BI63" si="37">IF($B5="","",RANK($BH5,$BH$4:$BH$63,0))</f>
        <v>2</v>
      </c>
    </row>
    <row r="6" spans="1:61" ht="24.6">
      <c r="A6" s="20">
        <f t="shared" ref="A6:A63" si="38">A5+1</f>
        <v>3</v>
      </c>
      <c r="B6" s="53" t="s">
        <v>94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 ht="24.6">
      <c r="A7" s="20">
        <f t="shared" si="38"/>
        <v>4</v>
      </c>
      <c r="B7" s="53" t="s">
        <v>95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 ht="24.6">
      <c r="A8" s="20">
        <f t="shared" si="38"/>
        <v>5</v>
      </c>
      <c r="B8" s="53" t="s">
        <v>96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 ht="24.6">
      <c r="A9" s="20">
        <f t="shared" si="38"/>
        <v>6</v>
      </c>
      <c r="B9" s="53" t="s">
        <v>97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 ht="24.6">
      <c r="A10" s="20">
        <f t="shared" si="38"/>
        <v>7</v>
      </c>
      <c r="B10" s="53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 ht="24.6">
      <c r="A11" s="20">
        <f t="shared" si="38"/>
        <v>8</v>
      </c>
      <c r="B11" s="54" t="s">
        <v>99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 ht="24.6">
      <c r="A12" s="20">
        <f t="shared" si="38"/>
        <v>9</v>
      </c>
      <c r="B12" s="54" t="s">
        <v>100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 ht="24.6">
      <c r="A13" s="20">
        <f t="shared" si="38"/>
        <v>10</v>
      </c>
      <c r="B13" s="54" t="s">
        <v>101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 ht="24.6">
      <c r="A14" s="20">
        <f t="shared" si="38"/>
        <v>11</v>
      </c>
      <c r="B14" s="54" t="s">
        <v>102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 ht="24.6">
      <c r="A15" s="20">
        <f t="shared" si="38"/>
        <v>12</v>
      </c>
      <c r="B15" s="54" t="s">
        <v>103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 ht="24.6">
      <c r="A16" s="20">
        <f t="shared" si="38"/>
        <v>13</v>
      </c>
      <c r="B16" s="54" t="s">
        <v>104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 ht="24.6">
      <c r="A17" s="20">
        <f t="shared" si="38"/>
        <v>14</v>
      </c>
      <c r="B17" s="54" t="s">
        <v>105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>
        <f t="shared" si="36"/>
        <v>0</v>
      </c>
      <c r="BI17" s="34">
        <f t="shared" si="37"/>
        <v>3</v>
      </c>
    </row>
    <row r="18" spans="1:61" ht="24.6">
      <c r="A18" s="20">
        <f t="shared" si="38"/>
        <v>15</v>
      </c>
      <c r="B18" s="54" t="s">
        <v>106</v>
      </c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>
        <f t="shared" si="36"/>
        <v>0</v>
      </c>
      <c r="BI18" s="34">
        <f t="shared" si="37"/>
        <v>3</v>
      </c>
    </row>
    <row r="19" spans="1:61">
      <c r="A19" s="20">
        <f t="shared" si="38"/>
        <v>16</v>
      </c>
      <c r="B19" s="51" t="s">
        <v>107</v>
      </c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>
        <f t="shared" si="36"/>
        <v>0</v>
      </c>
      <c r="BI19" s="34">
        <f t="shared" si="37"/>
        <v>3</v>
      </c>
    </row>
    <row r="20" spans="1:61">
      <c r="A20" s="20">
        <f t="shared" si="38"/>
        <v>17</v>
      </c>
      <c r="B20" s="51"/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 t="str">
        <f t="shared" si="36"/>
        <v/>
      </c>
      <c r="BI20" s="34" t="str">
        <f t="shared" si="37"/>
        <v/>
      </c>
    </row>
    <row r="21" spans="1:61">
      <c r="A21" s="20">
        <f t="shared" si="38"/>
        <v>18</v>
      </c>
      <c r="B21" s="51"/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 t="str">
        <f t="shared" si="36"/>
        <v/>
      </c>
      <c r="BI21" s="34" t="str">
        <f t="shared" si="37"/>
        <v/>
      </c>
    </row>
    <row r="22" spans="1:61">
      <c r="A22" s="20">
        <f t="shared" si="38"/>
        <v>19</v>
      </c>
      <c r="B22" s="50"/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 t="str">
        <f t="shared" si="36"/>
        <v/>
      </c>
      <c r="BI22" s="34" t="str">
        <f t="shared" si="37"/>
        <v/>
      </c>
    </row>
    <row r="23" spans="1:61">
      <c r="A23" s="20">
        <f t="shared" si="38"/>
        <v>20</v>
      </c>
      <c r="B23" s="50"/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 t="str">
        <f t="shared" si="36"/>
        <v/>
      </c>
      <c r="BI23" s="34" t="str">
        <f t="shared" si="37"/>
        <v/>
      </c>
    </row>
    <row r="24" spans="1:61">
      <c r="A24" s="20">
        <f t="shared" si="38"/>
        <v>21</v>
      </c>
      <c r="B24" s="43"/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 t="str">
        <f t="shared" si="36"/>
        <v/>
      </c>
      <c r="BI24" s="34" t="str">
        <f t="shared" si="37"/>
        <v/>
      </c>
    </row>
    <row r="25" spans="1:61">
      <c r="A25" s="20">
        <f t="shared" si="38"/>
        <v>22</v>
      </c>
      <c r="B25" s="43"/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 t="str">
        <f t="shared" si="36"/>
        <v/>
      </c>
      <c r="BI25" s="34" t="str">
        <f t="shared" si="37"/>
        <v/>
      </c>
    </row>
    <row r="26" spans="1:61">
      <c r="A26" s="20">
        <f t="shared" si="38"/>
        <v>23</v>
      </c>
      <c r="B26" s="43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3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3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3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3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3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3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3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3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3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3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3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3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3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3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3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3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3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3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3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3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3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3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3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3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3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3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3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3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3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3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3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3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3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3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4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6"/>
      <c r="V63" s="46"/>
      <c r="W63" s="45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abSelected="1" workbookViewId="0">
      <selection activeCell="W3" activeCellId="1" sqref="X2 W3:X3"/>
    </sheetView>
  </sheetViews>
  <sheetFormatPr defaultColWidth="5.6640625" defaultRowHeight="21"/>
  <cols>
    <col min="1" max="1" width="2" style="82" customWidth="1"/>
    <col min="2" max="2" width="6.109375" style="143" customWidth="1"/>
    <col min="3" max="3" width="8.5546875" style="82" customWidth="1"/>
    <col min="4" max="4" width="1.88671875" style="82" customWidth="1"/>
    <col min="5" max="5" width="4.44140625" style="82" customWidth="1"/>
    <col min="6" max="9" width="5.6640625" style="82"/>
    <col min="10" max="10" width="9.5546875" style="82" customWidth="1"/>
    <col min="11" max="11" width="4" style="82" customWidth="1"/>
    <col min="12" max="13" width="5.6640625" style="82" customWidth="1"/>
    <col min="14" max="16" width="5.6640625" style="82"/>
    <col min="17" max="17" width="10" style="82" customWidth="1"/>
    <col min="18" max="18" width="1.33203125" style="82" customWidth="1"/>
    <col min="19" max="19" width="3.6640625" style="82" customWidth="1"/>
    <col min="20" max="20" width="10.44140625" style="82" customWidth="1"/>
    <col min="21" max="22" width="5.6640625" style="82"/>
    <col min="23" max="23" width="7.109375" style="82" customWidth="1"/>
    <col min="24" max="24" width="8.6640625" style="82" customWidth="1"/>
    <col min="25" max="16384" width="5.6640625" style="82"/>
  </cols>
  <sheetData>
    <row r="1" spans="1:24" ht="3.75" customHeight="1">
      <c r="A1" s="80"/>
      <c r="B1" s="81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4" ht="26.25" customHeight="1">
      <c r="A2" s="80"/>
      <c r="B2" s="83"/>
      <c r="C2" s="84"/>
      <c r="D2" s="85" t="s">
        <v>33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  <c r="R2" s="80"/>
      <c r="T2" s="88" t="s">
        <v>52</v>
      </c>
      <c r="U2" s="88"/>
      <c r="V2" s="88"/>
      <c r="W2" s="88"/>
      <c r="X2" s="47">
        <v>1</v>
      </c>
    </row>
    <row r="3" spans="1:24" s="96" customFormat="1" ht="18">
      <c r="A3" s="89"/>
      <c r="B3" s="90"/>
      <c r="C3" s="91"/>
      <c r="D3" s="92" t="s">
        <v>34</v>
      </c>
      <c r="E3" s="93"/>
      <c r="F3" s="93"/>
      <c r="G3" s="93"/>
      <c r="H3" s="93"/>
      <c r="I3" s="94" t="str">
        <f>ตั้งค่า!D9</f>
        <v>ศาลาพัน</v>
      </c>
      <c r="J3" s="94"/>
      <c r="K3" s="94"/>
      <c r="L3" s="94"/>
      <c r="M3" s="94"/>
      <c r="N3" s="94"/>
      <c r="O3" s="94"/>
      <c r="P3" s="94"/>
      <c r="Q3" s="95"/>
      <c r="R3" s="89"/>
      <c r="T3" s="97" t="s">
        <v>54</v>
      </c>
      <c r="U3" s="97"/>
      <c r="V3" s="97"/>
      <c r="W3" s="79">
        <v>244267</v>
      </c>
      <c r="X3" s="78"/>
    </row>
    <row r="4" spans="1:24" s="96" customFormat="1" ht="18">
      <c r="A4" s="89"/>
      <c r="B4" s="90"/>
      <c r="C4" s="91"/>
      <c r="D4" s="98" t="s">
        <v>35</v>
      </c>
      <c r="E4" s="99"/>
      <c r="F4" s="99"/>
      <c r="G4" s="99"/>
      <c r="H4" s="99"/>
      <c r="I4" s="94" t="str">
        <f>ตั้งค่า!D8</f>
        <v>สำนักงานเขตพื้นที่การศึกษาประถมศึกษาปทุมธานีเขต 1</v>
      </c>
      <c r="J4" s="94"/>
      <c r="K4" s="94"/>
      <c r="L4" s="94"/>
      <c r="M4" s="94"/>
      <c r="N4" s="94"/>
      <c r="O4" s="94"/>
      <c r="P4" s="94"/>
      <c r="Q4" s="95"/>
      <c r="R4" s="89"/>
    </row>
    <row r="5" spans="1:24" s="96" customFormat="1" ht="18">
      <c r="A5" s="89"/>
      <c r="B5" s="90"/>
      <c r="C5" s="91"/>
      <c r="D5" s="98" t="s">
        <v>36</v>
      </c>
      <c r="E5" s="99"/>
      <c r="F5" s="100" t="str">
        <f>ตั้งค่า!D10</f>
        <v>มัธยมศึกษาปีที่ 3</v>
      </c>
      <c r="G5" s="100"/>
      <c r="H5" s="100"/>
      <c r="I5" s="100"/>
      <c r="J5" s="99" t="s">
        <v>37</v>
      </c>
      <c r="K5" s="99"/>
      <c r="L5" s="101">
        <f>ตั้งค่า!D16</f>
        <v>1</v>
      </c>
      <c r="M5" s="101"/>
      <c r="N5" s="99" t="s">
        <v>38</v>
      </c>
      <c r="O5" s="99"/>
      <c r="P5" s="101">
        <f>ตั้งค่า!D7</f>
        <v>2568</v>
      </c>
      <c r="Q5" s="102"/>
      <c r="R5" s="89"/>
    </row>
    <row r="6" spans="1:24" s="96" customFormat="1" ht="18">
      <c r="A6" s="89"/>
      <c r="B6" s="90"/>
      <c r="C6" s="91"/>
      <c r="D6" s="98" t="s">
        <v>15</v>
      </c>
      <c r="E6" s="99"/>
      <c r="F6" s="101">
        <f>VLOOKUP($X$2,'คะแนนภาคเรียนที่ 1'!$A$4:$BI$63,1,FALSE)</f>
        <v>1</v>
      </c>
      <c r="G6" s="101"/>
      <c r="H6" s="103" t="s">
        <v>9</v>
      </c>
      <c r="I6" s="103"/>
      <c r="J6" s="103"/>
      <c r="K6" s="100" t="str">
        <f>IF(VLOOKUP($X$2,'คะแนนภาคเรียนที่ 1'!$A$4:$BI$63,2,FALSE)="","",VLOOKUP($X$2,'คะแนนภาคเรียนที่ 1'!$A$4:$BI$63,2,FALSE))</f>
        <v>เด็กชายณัฐภูมิ  ชัยมานิตย์</v>
      </c>
      <c r="L6" s="100"/>
      <c r="M6" s="100"/>
      <c r="N6" s="100"/>
      <c r="O6" s="100"/>
      <c r="P6" s="100"/>
      <c r="Q6" s="104"/>
      <c r="R6" s="89"/>
    </row>
    <row r="7" spans="1:24" s="96" customFormat="1" ht="4.5" customHeight="1">
      <c r="A7" s="89"/>
      <c r="B7" s="105"/>
      <c r="C7" s="106"/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6"/>
      <c r="R7" s="89"/>
    </row>
    <row r="8" spans="1:24" s="96" customFormat="1" ht="22.5" customHeight="1">
      <c r="A8" s="89"/>
      <c r="B8" s="109" t="s">
        <v>7</v>
      </c>
      <c r="C8" s="110" t="s">
        <v>10</v>
      </c>
      <c r="D8" s="110"/>
      <c r="E8" s="110"/>
      <c r="F8" s="110" t="s">
        <v>11</v>
      </c>
      <c r="G8" s="110"/>
      <c r="H8" s="110"/>
      <c r="I8" s="110"/>
      <c r="J8" s="110"/>
      <c r="K8" s="110"/>
      <c r="L8" s="110" t="s">
        <v>40</v>
      </c>
      <c r="M8" s="110"/>
      <c r="N8" s="111" t="s">
        <v>41</v>
      </c>
      <c r="O8" s="111"/>
      <c r="P8" s="111" t="s">
        <v>42</v>
      </c>
      <c r="Q8" s="111"/>
      <c r="R8" s="89"/>
    </row>
    <row r="9" spans="1:24">
      <c r="A9" s="80"/>
      <c r="B9" s="112"/>
      <c r="C9" s="113" t="s">
        <v>39</v>
      </c>
      <c r="D9" s="113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80"/>
    </row>
    <row r="10" spans="1:24" ht="20.100000000000001" customHeight="1">
      <c r="A10" s="80"/>
      <c r="B10" s="115">
        <f>IF(C11="","",1)</f>
        <v>1</v>
      </c>
      <c r="C10" s="116" t="str">
        <f>IF(วิชาเรียน!$B3="","",วิชาเรียน!$B3)</f>
        <v>ท23101</v>
      </c>
      <c r="D10" s="116"/>
      <c r="E10" s="116"/>
      <c r="F10" s="117" t="str">
        <f>IF(วิชาเรียน!$C3="","",วิชาเรียน!$C3)</f>
        <v>ภาษาไทย 5</v>
      </c>
      <c r="G10" s="117"/>
      <c r="H10" s="117"/>
      <c r="I10" s="117"/>
      <c r="J10" s="117"/>
      <c r="K10" s="117"/>
      <c r="L10" s="116">
        <f>IF(VLOOKUP($X$2,'คะแนนภาคเรียนที่ 1'!$A$4:$BI$63,3,FALSE)="","",VLOOKUP($X$2,'คะแนนภาคเรียนที่ 1'!$A$4:$BI$63,3,FALSE))</f>
        <v>80</v>
      </c>
      <c r="M10" s="116"/>
      <c r="N10" s="116">
        <f>IF(VLOOKUP($X$2,'คะแนนภาคเรียนที่ 1'!$A$4:$BI$63,24,FALSE)="","",VLOOKUP($X$2,'คะแนนภาคเรียนที่ 1'!$A$4:$BI$63,24,FALSE))</f>
        <v>4</v>
      </c>
      <c r="O10" s="116"/>
      <c r="P10" s="116"/>
      <c r="Q10" s="116"/>
      <c r="R10" s="80"/>
    </row>
    <row r="11" spans="1:24" ht="20.100000000000001" customHeight="1">
      <c r="A11" s="80"/>
      <c r="B11" s="115">
        <f>IF(C11="","",B10+1)</f>
        <v>2</v>
      </c>
      <c r="C11" s="116" t="str">
        <f>IF(วิชาเรียน!$B4="","",วิชาเรียน!$B4)</f>
        <v>ค23101</v>
      </c>
      <c r="D11" s="116"/>
      <c r="E11" s="116"/>
      <c r="F11" s="117" t="str">
        <f>IF(วิชาเรียน!$C4="","",วิชาเรียน!$C4)</f>
        <v>คณิตศาสตร์ 5</v>
      </c>
      <c r="G11" s="117"/>
      <c r="H11" s="117"/>
      <c r="I11" s="117"/>
      <c r="J11" s="117"/>
      <c r="K11" s="117"/>
      <c r="L11" s="116">
        <f>IF(VLOOKUP($X$2,'คะแนนภาคเรียนที่ 1'!$A$4:$BI$63,4,FALSE)="","",VLOOKUP($X$2,'คะแนนภาคเรียนที่ 1'!$A$4:$BI$63,4,FALSE))</f>
        <v>80</v>
      </c>
      <c r="M11" s="116"/>
      <c r="N11" s="116">
        <f>IF(VLOOKUP($X$2,'คะแนนภาคเรียนที่ 1'!$A$4:$BI$63,25,FALSE)="","",VLOOKUP($X$2,'คะแนนภาคเรียนที่ 1'!$A$4:$BI$63,25,FALSE))</f>
        <v>4</v>
      </c>
      <c r="O11" s="116"/>
      <c r="P11" s="116"/>
      <c r="Q11" s="116"/>
      <c r="R11" s="80"/>
    </row>
    <row r="12" spans="1:24" ht="20.100000000000001" customHeight="1">
      <c r="A12" s="80"/>
      <c r="B12" s="115">
        <f t="shared" ref="B12:B21" si="0">IF(C12="","",B11+1)</f>
        <v>3</v>
      </c>
      <c r="C12" s="116" t="str">
        <f>IF(วิชาเรียน!$B5="","",วิชาเรียน!$B5)</f>
        <v>ว23101</v>
      </c>
      <c r="D12" s="116"/>
      <c r="E12" s="116"/>
      <c r="F12" s="117" t="str">
        <f>IF(วิชาเรียน!$C5="","",วิชาเรียน!$C5)</f>
        <v>วิทยาศาสตร์และเทคโนโลยี 5</v>
      </c>
      <c r="G12" s="117"/>
      <c r="H12" s="117"/>
      <c r="I12" s="117"/>
      <c r="J12" s="117"/>
      <c r="K12" s="117"/>
      <c r="L12" s="116">
        <f>IF(VLOOKUP($X$2,'คะแนนภาคเรียนที่ 1'!$A$4:$BI$63,5,FALSE)="","",VLOOKUP($X$2,'คะแนนภาคเรียนที่ 1'!$A$4:$BI$63,5,FALSE))</f>
        <v>75</v>
      </c>
      <c r="M12" s="116"/>
      <c r="N12" s="116">
        <f>IF(VLOOKUP($X$2,'คะแนนภาคเรียนที่ 1'!$A$4:$BI$63,26,FALSE)="","",VLOOKUP($X$2,'คะแนนภาคเรียนที่ 1'!$A$4:$BI$63,26,FALSE))</f>
        <v>3.5</v>
      </c>
      <c r="O12" s="116"/>
      <c r="P12" s="116"/>
      <c r="Q12" s="116"/>
      <c r="R12" s="80"/>
    </row>
    <row r="13" spans="1:24" ht="20.100000000000001" customHeight="1">
      <c r="A13" s="80"/>
      <c r="B13" s="115">
        <f t="shared" si="0"/>
        <v>4</v>
      </c>
      <c r="C13" s="116" t="str">
        <f>IF(วิชาเรียน!$B6="","",วิชาเรียน!$B6)</f>
        <v>ส23101</v>
      </c>
      <c r="D13" s="116"/>
      <c r="E13" s="116"/>
      <c r="F13" s="117" t="str">
        <f>IF(วิชาเรียน!$C6="","",วิชาเรียน!$C6)</f>
        <v>สังคมศึกษา ศาสนาและวัฒนธรรม 5</v>
      </c>
      <c r="G13" s="117"/>
      <c r="H13" s="117"/>
      <c r="I13" s="117"/>
      <c r="J13" s="117"/>
      <c r="K13" s="117"/>
      <c r="L13" s="116">
        <f>IF(VLOOKUP($X$2,'คะแนนภาคเรียนที่ 1'!$A$4:$BI$63,6,FALSE)="","",VLOOKUP($X$2,'คะแนนภาคเรียนที่ 1'!$A$4:$BI$63,6,FALSE))</f>
        <v>74</v>
      </c>
      <c r="M13" s="116"/>
      <c r="N13" s="116">
        <f>IF(VLOOKUP($X$2,'คะแนนภาคเรียนที่ 1'!$A$4:$BI$63,27,FALSE)="","",VLOOKUP($X$2,'คะแนนภาคเรียนที่ 1'!$A$4:$BI$63,27,FALSE))</f>
        <v>3</v>
      </c>
      <c r="O13" s="116"/>
      <c r="P13" s="116"/>
      <c r="Q13" s="116"/>
      <c r="R13" s="80"/>
    </row>
    <row r="14" spans="1:24" ht="20.100000000000001" customHeight="1">
      <c r="A14" s="80"/>
      <c r="B14" s="115">
        <f t="shared" si="0"/>
        <v>5</v>
      </c>
      <c r="C14" s="116" t="str">
        <f>IF(วิชาเรียน!$B7="","",วิชาเรียน!$B7)</f>
        <v>ส23102</v>
      </c>
      <c r="D14" s="116"/>
      <c r="E14" s="116"/>
      <c r="F14" s="117" t="str">
        <f>IF(วิชาเรียน!$C7="","",วิชาเรียน!$C7)</f>
        <v>ประวัติศาสตร์ 5</v>
      </c>
      <c r="G14" s="117"/>
      <c r="H14" s="117"/>
      <c r="I14" s="117"/>
      <c r="J14" s="117"/>
      <c r="K14" s="117"/>
      <c r="L14" s="116">
        <f>IF(VLOOKUP($X$2,'คะแนนภาคเรียนที่ 1'!$A$4:$BI$63,7,FALSE)="","",VLOOKUP($X$2,'คะแนนภาคเรียนที่ 1'!$A$4:$BI$63,7,FALSE))</f>
        <v>60</v>
      </c>
      <c r="M14" s="116"/>
      <c r="N14" s="116">
        <f>IF(VLOOKUP($X$2,'คะแนนภาคเรียนที่ 1'!$A$4:$BI$63,28,FALSE)="","",VLOOKUP($X$2,'คะแนนภาคเรียนที่ 1'!$A$4:$BI$63,28,FALSE))</f>
        <v>2</v>
      </c>
      <c r="O14" s="116"/>
      <c r="P14" s="116"/>
      <c r="Q14" s="116"/>
      <c r="R14" s="80"/>
    </row>
    <row r="15" spans="1:24" ht="20.100000000000001" customHeight="1">
      <c r="A15" s="80"/>
      <c r="B15" s="115">
        <f t="shared" si="0"/>
        <v>6</v>
      </c>
      <c r="C15" s="116" t="str">
        <f>IF(วิชาเรียน!$B8="","",วิชาเรียน!$B8)</f>
        <v>พ23101</v>
      </c>
      <c r="D15" s="116"/>
      <c r="E15" s="116"/>
      <c r="F15" s="117" t="str">
        <f>IF(วิชาเรียน!$C8="","",วิชาเรียน!$C8)</f>
        <v>สุขศึกษาและพลศึกษา 5</v>
      </c>
      <c r="G15" s="117"/>
      <c r="H15" s="117"/>
      <c r="I15" s="117"/>
      <c r="J15" s="117"/>
      <c r="K15" s="117"/>
      <c r="L15" s="116">
        <f>IF(VLOOKUP($X$2,'คะแนนภาคเรียนที่ 1'!$A$4:$BI$63,8,FALSE)="","",VLOOKUP($X$2,'คะแนนภาคเรียนที่ 1'!$A$4:$BI$63,8,FALSE))</f>
        <v>66</v>
      </c>
      <c r="M15" s="116"/>
      <c r="N15" s="116">
        <f>IF(VLOOKUP($X$2,'คะแนนภาคเรียนที่ 1'!$A$4:$BI$63,29,FALSE)="","",VLOOKUP($X$2,'คะแนนภาคเรียนที่ 1'!$A$4:$BI$63,29,FALSE))</f>
        <v>2.5</v>
      </c>
      <c r="O15" s="116"/>
      <c r="P15" s="116"/>
      <c r="Q15" s="116"/>
      <c r="R15" s="80"/>
    </row>
    <row r="16" spans="1:24" ht="20.100000000000001" customHeight="1">
      <c r="A16" s="80"/>
      <c r="B16" s="115">
        <f t="shared" si="0"/>
        <v>7</v>
      </c>
      <c r="C16" s="116" t="str">
        <f>IF(วิชาเรียน!$B9="","",วิชาเรียน!$B9)</f>
        <v>ศ23101</v>
      </c>
      <c r="D16" s="116"/>
      <c r="E16" s="116"/>
      <c r="F16" s="117" t="str">
        <f>IF(วิชาเรียน!$C9="","",วิชาเรียน!$C9)</f>
        <v>ศิลปะ 5</v>
      </c>
      <c r="G16" s="117"/>
      <c r="H16" s="117"/>
      <c r="I16" s="117"/>
      <c r="J16" s="117"/>
      <c r="K16" s="117"/>
      <c r="L16" s="116">
        <f>IF(VLOOKUP($X$2,'คะแนนภาคเรียนที่ 1'!$A$4:$BI$63,9,FALSE)="","",VLOOKUP($X$2,'คะแนนภาคเรียนที่ 1'!$A$4:$BI$63,9,FALSE))</f>
        <v>65</v>
      </c>
      <c r="M16" s="116"/>
      <c r="N16" s="116">
        <f>IF(VLOOKUP($X$2,'คะแนนภาคเรียนที่ 1'!$A$4:$BI$63,30,FALSE)="","",VLOOKUP($X$2,'คะแนนภาคเรียนที่ 1'!$A$4:$BI$63,30,FALSE))</f>
        <v>2.5</v>
      </c>
      <c r="O16" s="116"/>
      <c r="P16" s="116"/>
      <c r="Q16" s="116"/>
      <c r="R16" s="80"/>
    </row>
    <row r="17" spans="1:18" ht="20.100000000000001" customHeight="1">
      <c r="A17" s="80"/>
      <c r="B17" s="115">
        <f t="shared" si="0"/>
        <v>8</v>
      </c>
      <c r="C17" s="116" t="str">
        <f>IF(วิชาเรียน!$B10="","",วิชาเรียน!$B10)</f>
        <v>ง23101</v>
      </c>
      <c r="D17" s="116"/>
      <c r="E17" s="116"/>
      <c r="F17" s="117" t="str">
        <f>IF(วิชาเรียน!$C10="","",วิชาเรียน!$C10)</f>
        <v>การงานอาชีพ 5</v>
      </c>
      <c r="G17" s="117"/>
      <c r="H17" s="117"/>
      <c r="I17" s="117"/>
      <c r="J17" s="117"/>
      <c r="K17" s="117"/>
      <c r="L17" s="116">
        <f>IF(VLOOKUP($X$2,'คะแนนภาคเรียนที่ 1'!$A$4:$BI$63,10,FALSE)="","",VLOOKUP($X$2,'คะแนนภาคเรียนที่ 1'!$A$4:$BI$63,10,FALSE))</f>
        <v>80</v>
      </c>
      <c r="M17" s="116"/>
      <c r="N17" s="116">
        <f>IF(VLOOKUP($X$2,'คะแนนภาคเรียนที่ 1'!$A$4:$BI$63,31,FALSE)="","",VLOOKUP($X$2,'คะแนนภาคเรียนที่ 1'!$A$4:$BI$63,31,FALSE))</f>
        <v>4</v>
      </c>
      <c r="O17" s="116"/>
      <c r="P17" s="116"/>
      <c r="Q17" s="116"/>
      <c r="R17" s="80"/>
    </row>
    <row r="18" spans="1:18" ht="20.100000000000001" customHeight="1">
      <c r="A18" s="80"/>
      <c r="B18" s="115">
        <f t="shared" si="0"/>
        <v>9</v>
      </c>
      <c r="C18" s="116" t="str">
        <f>IF(วิชาเรียน!$B11="","",วิชาเรียน!$B11)</f>
        <v>อ23101</v>
      </c>
      <c r="D18" s="116"/>
      <c r="E18" s="116"/>
      <c r="F18" s="117" t="str">
        <f>IF(วิชาเรียน!$C11="","",วิชาเรียน!$C11)</f>
        <v>ภาษาอังกฤษ 5</v>
      </c>
      <c r="G18" s="117"/>
      <c r="H18" s="117"/>
      <c r="I18" s="117"/>
      <c r="J18" s="117"/>
      <c r="K18" s="117"/>
      <c r="L18" s="116">
        <f>IF(VLOOKUP($X$2,'คะแนนภาคเรียนที่ 1'!$A$4:$BI$63,11,FALSE)="","",VLOOKUP($X$2,'คะแนนภาคเรียนที่ 1'!$A$4:$BI$63,11,FALSE))</f>
        <v>50</v>
      </c>
      <c r="M18" s="116"/>
      <c r="N18" s="116">
        <f>IF(VLOOKUP($X$2,'คะแนนภาคเรียนที่ 1'!$A$4:$BI$63,32,FALSE)="","",VLOOKUP($X$2,'คะแนนภาคเรียนที่ 1'!$A$4:$BI$63,32,FALSE))</f>
        <v>1</v>
      </c>
      <c r="O18" s="116"/>
      <c r="P18" s="116"/>
      <c r="Q18" s="116"/>
      <c r="R18" s="80"/>
    </row>
    <row r="19" spans="1:18" ht="20.100000000000001" customHeight="1">
      <c r="A19" s="80"/>
      <c r="B19" s="115" t="str">
        <f t="shared" si="0"/>
        <v/>
      </c>
      <c r="C19" s="116" t="str">
        <f>IF(วิชาเรียน!$B12="","",วิชาเรียน!$B12)</f>
        <v/>
      </c>
      <c r="D19" s="116"/>
      <c r="E19" s="116"/>
      <c r="F19" s="117" t="str">
        <f>IF(วิชาเรียน!$C12="","",วิชาเรียน!$C12)</f>
        <v/>
      </c>
      <c r="G19" s="117"/>
      <c r="H19" s="117"/>
      <c r="I19" s="117"/>
      <c r="J19" s="117"/>
      <c r="K19" s="117"/>
      <c r="L19" s="116" t="str">
        <f>IF(VLOOKUP($X$2,'คะแนนภาคเรียนที่ 1'!$A$4:$BI$63,12,FALSE)="","",VLOOKUP($X$2,'คะแนนภาคเรียนที่ 1'!$A$4:$BI$63,12,FALSE))</f>
        <v/>
      </c>
      <c r="M19" s="116"/>
      <c r="N19" s="116" t="str">
        <f>IF(VLOOKUP($X$2,'คะแนนภาคเรียนที่ 1'!$A$4:$BI$63,33,FALSE)="","",VLOOKUP($X$2,'คะแนนภาคเรียนที่ 1'!$A$4:$BI$63,33,FALSE))</f>
        <v/>
      </c>
      <c r="O19" s="116"/>
      <c r="P19" s="116"/>
      <c r="Q19" s="116"/>
      <c r="R19" s="80"/>
    </row>
    <row r="20" spans="1:18" ht="20.100000000000001" customHeight="1">
      <c r="A20" s="80"/>
      <c r="B20" s="115" t="str">
        <f t="shared" si="0"/>
        <v/>
      </c>
      <c r="C20" s="116" t="str">
        <f>IF(วิชาเรียน!$B13="","",วิชาเรียน!$B13)</f>
        <v/>
      </c>
      <c r="D20" s="116"/>
      <c r="E20" s="116"/>
      <c r="F20" s="117" t="str">
        <f>IF(วิชาเรียน!$C13="","",วิชาเรียน!$C13)</f>
        <v/>
      </c>
      <c r="G20" s="117"/>
      <c r="H20" s="117"/>
      <c r="I20" s="117"/>
      <c r="J20" s="117"/>
      <c r="K20" s="117"/>
      <c r="L20" s="116" t="str">
        <f>IF(VLOOKUP($X$2,'คะแนนภาคเรียนที่ 1'!$A$4:$BI$63,13,FALSE)="","",VLOOKUP($X$2,'คะแนนภาคเรียนที่ 1'!$A$4:$BI$63,13,FALSE))</f>
        <v/>
      </c>
      <c r="M20" s="116"/>
      <c r="N20" s="116" t="str">
        <f>IF(VLOOKUP($X$2,'คะแนนภาคเรียนที่ 1'!$A$4:$BI$63,34,FALSE)="","",VLOOKUP($X$2,'คะแนนภาคเรียนที่ 1'!$A$4:$BI$63,34,FALSE))</f>
        <v/>
      </c>
      <c r="O20" s="116"/>
      <c r="P20" s="116"/>
      <c r="Q20" s="116"/>
      <c r="R20" s="80"/>
    </row>
    <row r="21" spans="1:18" ht="20.100000000000001" customHeight="1">
      <c r="A21" s="80"/>
      <c r="B21" s="115" t="str">
        <f t="shared" si="0"/>
        <v/>
      </c>
      <c r="C21" s="116" t="str">
        <f>IF(วิชาเรียน!$B14="","",วิชาเรียน!$B14)</f>
        <v/>
      </c>
      <c r="D21" s="116"/>
      <c r="E21" s="116"/>
      <c r="F21" s="117" t="str">
        <f>IF(วิชาเรียน!$C14="","",วิชาเรียน!$C14)</f>
        <v/>
      </c>
      <c r="G21" s="117"/>
      <c r="H21" s="117"/>
      <c r="I21" s="117"/>
      <c r="J21" s="117"/>
      <c r="K21" s="117"/>
      <c r="L21" s="116" t="str">
        <f>IF(VLOOKUP($X$2,'คะแนนภาคเรียนที่ 1'!$A$4:$BI$63,14,FALSE)="","",VLOOKUP($X$2,'คะแนนภาคเรียนที่ 1'!$A$4:$BI$63,14,FALSE))</f>
        <v/>
      </c>
      <c r="M21" s="116"/>
      <c r="N21" s="116" t="str">
        <f>IF(VLOOKUP($X$2,'คะแนนภาคเรียนที่ 1'!$A$4:$BI$63,35,FALSE)="","",VLOOKUP($X$2,'คะแนนภาคเรียนที่ 1'!$A$4:$BI$63,35,FALSE))</f>
        <v/>
      </c>
      <c r="O21" s="116"/>
      <c r="P21" s="116"/>
      <c r="Q21" s="116"/>
      <c r="R21" s="80"/>
    </row>
    <row r="22" spans="1:18" ht="20.100000000000001" customHeight="1">
      <c r="A22" s="80"/>
      <c r="B22" s="115"/>
      <c r="C22" s="118" t="s">
        <v>43</v>
      </c>
      <c r="D22" s="118"/>
      <c r="E22" s="118"/>
      <c r="F22" s="117" t="str">
        <f>IF(วิชาเรียน!$C15="","",วิชาเรียน!$C15)</f>
        <v/>
      </c>
      <c r="G22" s="117"/>
      <c r="H22" s="117"/>
      <c r="I22" s="117"/>
      <c r="J22" s="117"/>
      <c r="K22" s="117"/>
      <c r="L22" s="116"/>
      <c r="M22" s="116"/>
      <c r="N22" s="116"/>
      <c r="O22" s="116"/>
      <c r="P22" s="116"/>
      <c r="Q22" s="116"/>
      <c r="R22" s="80"/>
    </row>
    <row r="23" spans="1:18" ht="20.100000000000001" customHeight="1">
      <c r="A23" s="80"/>
      <c r="B23" s="115">
        <f>IF(C23="","",1)</f>
        <v>1</v>
      </c>
      <c r="C23" s="116" t="str">
        <f>IF(วิชาเรียน!$B17="","",วิชาเรียน!$B17)</f>
        <v>ส23235</v>
      </c>
      <c r="D23" s="116"/>
      <c r="E23" s="116"/>
      <c r="F23" s="117" t="str">
        <f>IF(วิชาเรียน!$C17="","",วิชาเรียน!$C17)</f>
        <v>หน้าที่พลเมือง 5</v>
      </c>
      <c r="G23" s="117"/>
      <c r="H23" s="117"/>
      <c r="I23" s="117"/>
      <c r="J23" s="117"/>
      <c r="K23" s="117"/>
      <c r="L23" s="116">
        <f>IF(VLOOKUP($X$2,'คะแนนภาคเรียนที่ 1'!$A$4:$BI$63,15,FALSE)="","",VLOOKUP($X$2,'คะแนนภาคเรียนที่ 1'!$A$4:$BI$63,15,FALSE))</f>
        <v>80</v>
      </c>
      <c r="M23" s="116"/>
      <c r="N23" s="116">
        <f>IF(VLOOKUP($X$2,'คะแนนภาคเรียนที่ 1'!$A$4:$BI$63,36,FALSE)="","",VLOOKUP($X$2,'คะแนนภาคเรียนที่ 1'!$A$4:$BI$63,36,FALSE))</f>
        <v>4</v>
      </c>
      <c r="O23" s="116"/>
      <c r="P23" s="116"/>
      <c r="Q23" s="116"/>
      <c r="R23" s="80"/>
    </row>
    <row r="24" spans="1:18" ht="20.100000000000001" customHeight="1">
      <c r="A24" s="80"/>
      <c r="B24" s="115">
        <f>IF(C24="","",B23+1)</f>
        <v>2</v>
      </c>
      <c r="C24" s="116" t="str">
        <f>IF(วิชาเรียน!$B18="","",วิชาเรียน!$B18)</f>
        <v>ง23201</v>
      </c>
      <c r="D24" s="116"/>
      <c r="E24" s="116"/>
      <c r="F24" s="117" t="str">
        <f>IF(วิชาเรียน!$C18="","",วิชาเรียน!$C18)</f>
        <v>การงานฯ (เพิ่ม)</v>
      </c>
      <c r="G24" s="117"/>
      <c r="H24" s="117"/>
      <c r="I24" s="117"/>
      <c r="J24" s="117"/>
      <c r="K24" s="117"/>
      <c r="L24" s="116">
        <f>IF(VLOOKUP($X$2,'คะแนนภาคเรียนที่ 1'!$A$4:$BI$63,16,FALSE)="","",VLOOKUP($X$2,'คะแนนภาคเรียนที่ 1'!$A$4:$BI$63,16,FALSE))</f>
        <v>80</v>
      </c>
      <c r="M24" s="116"/>
      <c r="N24" s="116">
        <f>IF(VLOOKUP($X$2,'คะแนนภาคเรียนที่ 1'!$A$4:$BI$63,37,FALSE)="","",VLOOKUP($X$2,'คะแนนภาคเรียนที่ 1'!$A$4:$BI$63,37,FALSE))</f>
        <v>4</v>
      </c>
      <c r="O24" s="116"/>
      <c r="P24" s="116"/>
      <c r="Q24" s="116"/>
      <c r="R24" s="80"/>
    </row>
    <row r="25" spans="1:18" ht="20.100000000000001" customHeight="1">
      <c r="A25" s="80"/>
      <c r="B25" s="115">
        <f t="shared" ref="B25:B28" si="1">IF(C25="","",B24+1)</f>
        <v>3</v>
      </c>
      <c r="C25" s="116" t="str">
        <f>IF(วิชาเรียน!$B19="","",วิชาเรียน!$B19)</f>
        <v>ว23201</v>
      </c>
      <c r="D25" s="116"/>
      <c r="E25" s="116"/>
      <c r="F25" s="117" t="str">
        <f>IF(วิชาเรียน!$C19="","",วิชาเรียน!$C19)</f>
        <v>คอมพิวเตอร์ 5</v>
      </c>
      <c r="G25" s="117"/>
      <c r="H25" s="117"/>
      <c r="I25" s="117"/>
      <c r="J25" s="117"/>
      <c r="K25" s="117"/>
      <c r="L25" s="116">
        <f>IF(VLOOKUP($X$2,'คะแนนภาคเรียนที่ 1'!$A$4:$BI$63,17,FALSE)="","",VLOOKUP($X$2,'คะแนนภาคเรียนที่ 1'!$A$4:$BI$63,17,FALSE))</f>
        <v>80</v>
      </c>
      <c r="M25" s="116"/>
      <c r="N25" s="116">
        <f>IF(VLOOKUP($X$2,'คะแนนภาคเรียนที่ 1'!$A$4:$BI$63,38,FALSE)="","",VLOOKUP($X$2,'คะแนนภาคเรียนที่ 1'!$A$4:$BI$63,38,FALSE))</f>
        <v>4</v>
      </c>
      <c r="O25" s="116"/>
      <c r="P25" s="116"/>
      <c r="Q25" s="116"/>
      <c r="R25" s="80"/>
    </row>
    <row r="26" spans="1:18" ht="20.100000000000001" customHeight="1">
      <c r="A26" s="80"/>
      <c r="B26" s="115">
        <f t="shared" si="1"/>
        <v>4</v>
      </c>
      <c r="C26" s="116" t="str">
        <f>IF(วิชาเรียน!$B20="","",วิชาเรียน!$B20)</f>
        <v>ส23201</v>
      </c>
      <c r="D26" s="116"/>
      <c r="E26" s="116"/>
      <c r="F26" s="117" t="str">
        <f>IF(วิชาเรียน!$C20="","",วิชาเรียน!$C20)</f>
        <v>การป้องกันการทุจริต 5</v>
      </c>
      <c r="G26" s="117"/>
      <c r="H26" s="117"/>
      <c r="I26" s="117"/>
      <c r="J26" s="117"/>
      <c r="K26" s="117"/>
      <c r="L26" s="116" t="str">
        <f>IF(VLOOKUP($X$2,'คะแนนภาคเรียนที่ 1'!$A$4:$BI$63,18,FALSE)="","",VLOOKUP($X$2,'คะแนนภาคเรียนที่ 1'!$A$4:$BI$63,18,FALSE))</f>
        <v/>
      </c>
      <c r="M26" s="116"/>
      <c r="N26" s="116" t="str">
        <f>IF(VLOOKUP($X$2,'คะแนนภาคเรียนที่ 1'!$A$4:$BI$63,39,FALSE)="","",VLOOKUP($X$2,'คะแนนภาคเรียนที่ 1'!$A$4:$BI$63,39,FALSE))</f>
        <v/>
      </c>
      <c r="O26" s="116"/>
      <c r="P26" s="116"/>
      <c r="Q26" s="116"/>
      <c r="R26" s="80"/>
    </row>
    <row r="27" spans="1:18" ht="20.100000000000001" customHeight="1">
      <c r="A27" s="80"/>
      <c r="B27" s="115" t="str">
        <f t="shared" si="1"/>
        <v/>
      </c>
      <c r="C27" s="116" t="str">
        <f>IF(วิชาเรียน!$B21="","",วิชาเรียน!$B21)</f>
        <v/>
      </c>
      <c r="D27" s="116"/>
      <c r="E27" s="116"/>
      <c r="F27" s="117" t="str">
        <f>IF(วิชาเรียน!$C21="","",วิชาเรียน!$C21)</f>
        <v/>
      </c>
      <c r="G27" s="117"/>
      <c r="H27" s="117"/>
      <c r="I27" s="117"/>
      <c r="J27" s="117"/>
      <c r="K27" s="117"/>
      <c r="L27" s="116" t="str">
        <f>IF(VLOOKUP($X$2,'คะแนนภาคเรียนที่ 1'!$A$4:$BI$63,19,FALSE)="","",VLOOKUP($X$2,'คะแนนภาคเรียนที่ 1'!$A$4:$BI$63,19,FALSE))</f>
        <v/>
      </c>
      <c r="M27" s="116"/>
      <c r="N27" s="116" t="str">
        <f>IF(VLOOKUP($X$2,'คะแนนภาคเรียนที่ 1'!$A$4:$BI$63,40,FALSE)="","",VLOOKUP($X$2,'คะแนนภาคเรียนที่ 1'!$A$4:$BI$63,40,FALSE))</f>
        <v/>
      </c>
      <c r="O27" s="116"/>
      <c r="P27" s="116"/>
      <c r="Q27" s="116"/>
      <c r="R27" s="80"/>
    </row>
    <row r="28" spans="1:18" ht="20.100000000000001" customHeight="1">
      <c r="A28" s="80"/>
      <c r="B28" s="119" t="str">
        <f t="shared" si="1"/>
        <v/>
      </c>
      <c r="C28" s="120" t="str">
        <f>IF(วิชาเรียน!$B22="","",วิชาเรียน!$B22)</f>
        <v/>
      </c>
      <c r="D28" s="120"/>
      <c r="E28" s="120"/>
      <c r="F28" s="121" t="str">
        <f>IF(วิชาเรียน!$C22="","",วิชาเรียน!$C22)</f>
        <v/>
      </c>
      <c r="G28" s="121"/>
      <c r="H28" s="121"/>
      <c r="I28" s="121"/>
      <c r="J28" s="121"/>
      <c r="K28" s="121"/>
      <c r="L28" s="116" t="str">
        <f>IF(VLOOKUP($X$2,'คะแนนภาคเรียนที่ 1'!$A$4:$BI$63,20,FALSE)="","",VLOOKUP($X$2,'คะแนนภาคเรียนที่ 1'!$A$4:$BI$63,20,FALSE))</f>
        <v/>
      </c>
      <c r="M28" s="116"/>
      <c r="N28" s="122" t="str">
        <f>IF(VLOOKUP($X$2,'คะแนนภาคเรียนที่ 1'!$A$4:$BI$63,41,FALSE)="","",VLOOKUP($X$2,'คะแนนภาคเรียนที่ 1'!$A$4:$BI$63,41,FALSE))</f>
        <v/>
      </c>
      <c r="O28" s="122"/>
      <c r="P28" s="122"/>
      <c r="Q28" s="122"/>
      <c r="R28" s="80"/>
    </row>
    <row r="29" spans="1:18">
      <c r="A29" s="89"/>
      <c r="B29" s="123" t="s">
        <v>44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4">
        <f>IF(VLOOKUP($X$2,'คะแนนภาคเรียนที่ 1'!$A$4:$BI$63,60,FALSE)="","",VLOOKUP($X$2,'คะแนนภาคเรียนที่ 1'!$A$4:$BI$63,60,FALSE))</f>
        <v>3.0555555555555554</v>
      </c>
      <c r="M29" s="124"/>
      <c r="N29" s="125"/>
      <c r="O29" s="126"/>
      <c r="P29" s="126"/>
      <c r="Q29" s="127"/>
      <c r="R29" s="80"/>
    </row>
    <row r="30" spans="1:18" ht="3.75" customHeight="1">
      <c r="A30" s="89"/>
      <c r="B30" s="12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0"/>
    </row>
    <row r="31" spans="1:18">
      <c r="A31" s="89"/>
      <c r="B31" s="129" t="s">
        <v>45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80"/>
    </row>
    <row r="32" spans="1:18">
      <c r="A32" s="89"/>
      <c r="B32" s="130" t="s">
        <v>46</v>
      </c>
      <c r="C32" s="130"/>
      <c r="D32" s="130"/>
      <c r="E32" s="130"/>
      <c r="F32" s="130"/>
      <c r="G32" s="130"/>
      <c r="H32" s="131" t="s">
        <v>47</v>
      </c>
      <c r="I32" s="131"/>
      <c r="J32" s="131"/>
      <c r="K32" s="131"/>
      <c r="L32" s="131"/>
      <c r="M32" s="131" t="s">
        <v>22</v>
      </c>
      <c r="N32" s="131"/>
      <c r="O32" s="131"/>
      <c r="P32" s="131"/>
      <c r="Q32" s="131"/>
      <c r="R32" s="80"/>
    </row>
    <row r="33" spans="1:18">
      <c r="A33" s="89"/>
      <c r="B33" s="132" t="str">
        <f>IF(VLOOKUP($X$2,'คะแนนภาคเรียนที่ 1'!$A$4:$BI$63,22,FALSE)="","",VLOOKUP($X$2,'คะแนนภาคเรียนที่ 1'!$A$4:$BI$63,22,FALSE))</f>
        <v>ดีเยี่ยม</v>
      </c>
      <c r="C33" s="132"/>
      <c r="D33" s="132"/>
      <c r="E33" s="132"/>
      <c r="F33" s="132"/>
      <c r="G33" s="132"/>
      <c r="H33" s="133" t="str">
        <f>IF(VLOOKUP($X$2,'คะแนนภาคเรียนที่ 1'!$A$4:$BI$63,21,FALSE)="","",VLOOKUP($X$2,'คะแนนภาคเรียนที่ 1'!$A$4:$BI$63,21,FALSE))</f>
        <v>ผ่าน</v>
      </c>
      <c r="I33" s="133"/>
      <c r="J33" s="133"/>
      <c r="K33" s="133"/>
      <c r="L33" s="133"/>
      <c r="M33" s="133" t="str">
        <f>IF(VLOOKUP($X$2,'คะแนนภาคเรียนที่ 1'!$A$4:$BI$63,23,FALSE)="","",VLOOKUP($X$2,'คะแนนภาคเรียนที่ 1'!$A$4:$BI$63,23,FALSE))</f>
        <v>ผ่าน</v>
      </c>
      <c r="N33" s="133"/>
      <c r="O33" s="133"/>
      <c r="P33" s="133"/>
      <c r="Q33" s="133"/>
      <c r="R33" s="80"/>
    </row>
    <row r="34" spans="1:18" ht="30.75" customHeight="1">
      <c r="A34" s="89"/>
      <c r="B34" s="134" t="s">
        <v>48</v>
      </c>
      <c r="C34" s="135"/>
      <c r="D34" s="135"/>
      <c r="E34" s="135"/>
      <c r="F34" s="135"/>
      <c r="G34" s="135"/>
      <c r="H34" s="134" t="s">
        <v>48</v>
      </c>
      <c r="I34" s="135"/>
      <c r="J34" s="135"/>
      <c r="K34" s="135"/>
      <c r="L34" s="135"/>
      <c r="M34" s="134" t="s">
        <v>48</v>
      </c>
      <c r="N34" s="135"/>
      <c r="O34" s="135"/>
      <c r="P34" s="135"/>
      <c r="Q34" s="135"/>
      <c r="R34" s="80"/>
    </row>
    <row r="35" spans="1:18" ht="20.100000000000001" customHeight="1">
      <c r="A35" s="89"/>
      <c r="B35" s="128"/>
      <c r="C35" s="136" t="str">
        <f>IF(ตั้งค่า!D11="","",ตั้งค่า!D11)</f>
        <v>นางสาววาสนา บุญเพ็ญ</v>
      </c>
      <c r="D35" s="136"/>
      <c r="E35" s="136"/>
      <c r="F35" s="136"/>
      <c r="G35" s="136"/>
      <c r="H35" s="89"/>
      <c r="I35" s="136" t="str">
        <f>IF(ตั้งค่า!D12="","",ตั้งค่า!D12)</f>
        <v>นางสาวพักตร์พิมล บุราณเดช</v>
      </c>
      <c r="J35" s="136"/>
      <c r="K35" s="136"/>
      <c r="L35" s="136"/>
      <c r="M35" s="89"/>
      <c r="N35" s="137" t="str">
        <f>IF(ตั้งค่า!D13="","",ตั้งค่า!D13)</f>
        <v>นายกานต์ สุขกลาง</v>
      </c>
      <c r="O35" s="137"/>
      <c r="P35" s="137"/>
      <c r="Q35" s="137"/>
      <c r="R35" s="80"/>
    </row>
    <row r="36" spans="1:18" ht="20.100000000000001" customHeight="1">
      <c r="A36" s="89"/>
      <c r="B36" s="128"/>
      <c r="C36" s="138" t="s">
        <v>49</v>
      </c>
      <c r="D36" s="138"/>
      <c r="E36" s="138"/>
      <c r="F36" s="138"/>
      <c r="G36" s="138"/>
      <c r="H36" s="139"/>
      <c r="I36" s="138" t="s">
        <v>50</v>
      </c>
      <c r="J36" s="138"/>
      <c r="K36" s="138"/>
      <c r="L36" s="138"/>
      <c r="M36" s="139"/>
      <c r="N36" s="138" t="s">
        <v>51</v>
      </c>
      <c r="O36" s="138"/>
      <c r="P36" s="138"/>
      <c r="Q36" s="138"/>
      <c r="R36" s="80"/>
    </row>
    <row r="37" spans="1:18" ht="3" customHeight="1">
      <c r="A37" s="89"/>
      <c r="B37" s="128"/>
      <c r="C37" s="128"/>
      <c r="D37" s="128"/>
      <c r="E37" s="128"/>
      <c r="F37" s="128"/>
      <c r="G37" s="128"/>
      <c r="H37" s="139"/>
      <c r="I37" s="128"/>
      <c r="J37" s="128"/>
      <c r="K37" s="128"/>
      <c r="L37" s="128"/>
      <c r="M37" s="139"/>
      <c r="N37" s="128"/>
      <c r="O37" s="128"/>
      <c r="P37" s="128"/>
      <c r="Q37" s="128"/>
      <c r="R37" s="80"/>
    </row>
    <row r="38" spans="1:18" ht="24.75" customHeight="1">
      <c r="A38" s="89"/>
      <c r="B38" s="128"/>
      <c r="C38" s="89"/>
      <c r="D38" s="89"/>
      <c r="E38" s="89"/>
      <c r="F38" s="89"/>
      <c r="G38" s="89"/>
      <c r="H38" s="134" t="s">
        <v>48</v>
      </c>
      <c r="I38" s="135"/>
      <c r="J38" s="135"/>
      <c r="K38" s="135"/>
      <c r="L38" s="135"/>
      <c r="M38" s="89"/>
      <c r="N38" s="89"/>
      <c r="O38" s="89"/>
      <c r="P38" s="89"/>
      <c r="Q38" s="89"/>
      <c r="R38" s="80"/>
    </row>
    <row r="39" spans="1:18" ht="20.100000000000001" customHeight="1">
      <c r="A39" s="80"/>
      <c r="B39" s="81"/>
      <c r="C39" s="80"/>
      <c r="D39" s="80"/>
      <c r="E39" s="80"/>
      <c r="F39" s="80"/>
      <c r="G39" s="80"/>
      <c r="H39" s="80"/>
      <c r="I39" s="140" t="str">
        <f>IF(ตั้งค่า!D14="","",ตั้งค่า!D14)</f>
        <v>นางสาวศิริลักษณ์ สืบไทย</v>
      </c>
      <c r="J39" s="140"/>
      <c r="K39" s="140"/>
      <c r="L39" s="140"/>
      <c r="M39" s="80"/>
      <c r="N39" s="80"/>
      <c r="O39" s="80"/>
      <c r="P39" s="80"/>
      <c r="Q39" s="80"/>
      <c r="R39" s="80"/>
    </row>
    <row r="40" spans="1:18" ht="21" customHeight="1">
      <c r="A40" s="80"/>
      <c r="B40" s="81"/>
      <c r="C40" s="80"/>
      <c r="D40" s="80"/>
      <c r="E40" s="80"/>
      <c r="F40" s="80"/>
      <c r="G40" s="138" t="str">
        <f>IF(ตั้งค่า!D15="","",ตั้งค่า!D15)</f>
        <v>ผู้อำนวยการโรงเรียนศาลาพัน</v>
      </c>
      <c r="H40" s="138"/>
      <c r="I40" s="138"/>
      <c r="J40" s="138"/>
      <c r="K40" s="138"/>
      <c r="L40" s="138"/>
      <c r="M40" s="138"/>
      <c r="N40" s="138"/>
      <c r="O40" s="80"/>
      <c r="P40" s="80"/>
      <c r="Q40" s="80"/>
      <c r="R40" s="80"/>
    </row>
    <row r="41" spans="1:18" ht="21" customHeight="1">
      <c r="A41" s="80"/>
      <c r="B41" s="81"/>
      <c r="C41" s="80"/>
      <c r="D41" s="80"/>
      <c r="E41" s="80"/>
      <c r="F41" s="80"/>
      <c r="G41" s="128"/>
      <c r="H41" s="128"/>
      <c r="I41" s="141">
        <f>W3</f>
        <v>244267</v>
      </c>
      <c r="J41" s="142"/>
      <c r="K41" s="142"/>
      <c r="L41" s="142"/>
      <c r="M41" s="128"/>
      <c r="N41" s="128"/>
      <c r="O41" s="80"/>
      <c r="P41" s="80"/>
      <c r="Q41" s="80"/>
      <c r="R41" s="80"/>
    </row>
    <row r="42" spans="1:18">
      <c r="A42" s="80"/>
      <c r="B42" s="81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</sheetData>
  <sheetProtection algorithmName="SHA-512" hashValue="Yn01vku6A8/IVdfVHfD/MCpW/N3ErRCbylKS2gyZs03wyb4pCXGE3ubV0jKcQNruN2JmbJ77r38wHcdpWkiwrQ==" saltValue="1qgfeoYLY4B/WVDylVzxlg==" spinCount="100000" sheet="1" objects="1" scenarios="1"/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1'!$A$4:$A$63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1</vt:lpstr>
      <vt:lpstr>รายงานผลการเรียนเทอม1</vt:lpstr>
      <vt:lpstr>รายงานผลการเรียนเทอม1!Print_Area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2025-10-03T06:16:29Z</dcterms:modified>
</cp:coreProperties>
</file>